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145" activeTab="0"/>
  </bookViews>
  <sheets>
    <sheet name="RWH System Sizing" sheetId="1" r:id="rId1"/>
    <sheet name="Irrigation Demand Estimates" sheetId="2" r:id="rId2"/>
  </sheets>
  <definedNames>
    <definedName name="_xlnm.Print_Area" localSheetId="1">'Irrigation Demand Estimates'!#REF!</definedName>
  </definedNames>
  <calcPr fullCalcOnLoad="1"/>
</workbook>
</file>

<file path=xl/sharedStrings.xml><?xml version="1.0" encoding="utf-8"?>
<sst xmlns="http://schemas.openxmlformats.org/spreadsheetml/2006/main" count="108" uniqueCount="49">
  <si>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</si>
  <si>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</si>
  <si>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</si>
  <si>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</si>
  <si>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</si>
  <si>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</si>
  <si>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</si>
  <si>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</si>
  <si>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</si>
  <si>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</si>
  <si>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</si>
  <si>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</si>
  <si>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Median rainfall</t>
  </si>
  <si>
    <t>Rainfall collected (85% efficiency)</t>
  </si>
  <si>
    <t>Irrigation</t>
  </si>
  <si>
    <t>Collection surface size</t>
  </si>
  <si>
    <t>Total demand</t>
  </si>
  <si>
    <t>Indoor demand</t>
  </si>
  <si>
    <t>Irrigation annual total</t>
  </si>
  <si>
    <t>Average rainfall</t>
  </si>
  <si>
    <t>Catchment Area (sq. ft.)</t>
  </si>
  <si>
    <t>Monthly Indoor Demand (gals)</t>
  </si>
  <si>
    <t>Raw Data                                                                 (Change to fit your circumstances)</t>
  </si>
  <si>
    <t>Square feet of irrigated area</t>
  </si>
  <si>
    <t>Irrigation Demand</t>
  </si>
  <si>
    <t>Example One: Storage Starting at 0 gallons; 12,000 Gallons Available Storage and Average Rainfall (Dallas)</t>
  </si>
  <si>
    <t>Example Two: Storage Starting at 0 gallons; 12,000 Gallons Available Storage and Median Rainfall (Dallas)</t>
  </si>
  <si>
    <t>Irrigated Area (sq. ft.)</t>
  </si>
  <si>
    <t>Efficiency factor</t>
  </si>
  <si>
    <r>
      <t>Gallons/ft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collection coefficient</t>
    </r>
  </si>
  <si>
    <t>End of month storage (starting with water in storage)</t>
  </si>
  <si>
    <t>PET*.6</t>
  </si>
  <si>
    <t>Irrigation factor*</t>
  </si>
  <si>
    <t>Data can be found at http://texaset.tamu.edu/. As an alternative one can use historic data specific to one's own community. A limited dataset is availalble at the TAMU site.</t>
  </si>
  <si>
    <t xml:space="preserve">* Irrigation Factor is cacluated by multiplying average historical potential evapotranspiration by 0.6 (a turf coefficient for warm season turfgrasses) and subtracting rainfall from the result.  </t>
  </si>
  <si>
    <t>End of month storage (starting with 0 gallons in storage)</t>
  </si>
  <si>
    <t>Please note that in the median rainfall scenario illustrated, the water in storage may eventually exceed the capacity of the cistern, which puts an effective limit on the end-of-month storage amount.</t>
  </si>
  <si>
    <t>Please note that in the Average Rainfall scenario, the water in storage may eventually exceed the capacity of the cistern, which puts an effective limit on the end-of-month storage amount.</t>
  </si>
  <si>
    <t>Raw Data                                                                 (Change to fit your conditions)</t>
  </si>
  <si>
    <t>Tank Size (gal)</t>
  </si>
  <si>
    <t>Water in Storage to Begin (gal)</t>
  </si>
  <si>
    <r>
      <t>Outdoor Demand</t>
    </r>
    <r>
      <rPr>
        <sz val="10"/>
        <rFont val="Arial"/>
        <family val="2"/>
      </rPr>
      <t xml:space="preserve"> </t>
    </r>
    <r>
      <rPr>
        <sz val="12"/>
        <rFont val="Arial"/>
        <family val="0"/>
      </rPr>
      <t>(gals)</t>
    </r>
  </si>
  <si>
    <t>RWH System Sizing Calculator - TWDB</t>
  </si>
  <si>
    <t>Outdoor demand is based upon a small low-water use landscape with minimal handheld irrigation; persons intending to irrigate larger areas or a vegetable garden, will need a larger catchment area and larger storage capacity to accommodate both indoor demand and outdoor irrigation in larger quantities.</t>
  </si>
  <si>
    <t>Example 1: Storage Starting at 1,000 gallons; 10,000 Gallons Available Storage and using Average Rainfall (Dallas)</t>
  </si>
  <si>
    <t>Example 2: Storage Starting at 1,000 gallons; 10,000 Gallons Available Storage and using Median Rainfall (Dallas)</t>
  </si>
  <si>
    <t xml:space="preserve">This calculator is provided for general guidance only. Design and installation of RWH facilities should be based on site-specific conditions and technical expertise. </t>
  </si>
  <si>
    <t xml:space="preserve">This table is for general guidance only. Site-specific irrigation demands may also be calculated by other methods, or as recommended by local water management professionals. </t>
  </si>
  <si>
    <t>Tank Size (gals)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</si>
</sst>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"/>
    <numFmt numFmtId="167" formatCode="0.0"/>
    <numFmt numFmtId="168" formatCode="#,##0;[Red]#,##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/>
    </xf>
    <xf numFmtId="0" fontId="3" fillId="3" borderId="1" xfId="0" applyFont="1" applyFill="1" applyBorder="1" applyAlignment="1">
      <alignment horizontal="centerContinuous" wrapText="1"/>
    </xf>
    <xf numFmtId="0" fontId="0" fillId="3" borderId="2" xfId="0" applyFill="1" applyBorder="1" applyAlignment="1">
      <alignment horizontal="centerContinuous" wrapText="1"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3" fillId="4" borderId="5" xfId="0" applyNumberFormat="1" applyFont="1" applyFill="1" applyBorder="1" applyAlignment="1">
      <alignment/>
    </xf>
    <xf numFmtId="3" fontId="3" fillId="4" borderId="6" xfId="0" applyNumberFormat="1" applyFont="1" applyFill="1" applyBorder="1" applyAlignment="1">
      <alignment/>
    </xf>
    <xf numFmtId="3" fontId="3" fillId="4" borderId="7" xfId="0" applyNumberFormat="1" applyFont="1" applyFill="1" applyBorder="1" applyAlignment="1">
      <alignment/>
    </xf>
    <xf numFmtId="0" fontId="0" fillId="2" borderId="0" xfId="0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3" fillId="4" borderId="8" xfId="0" applyFont="1" applyFill="1" applyBorder="1" applyAlignment="1">
      <alignment/>
    </xf>
    <xf numFmtId="1" fontId="0" fillId="0" borderId="0" xfId="0" applyNumberFormat="1" applyAlignment="1">
      <alignment/>
    </xf>
    <xf numFmtId="0" fontId="3" fillId="5" borderId="1" xfId="0" applyFont="1" applyFill="1" applyBorder="1" applyAlignment="1">
      <alignment horizontal="centerContinuous" wrapText="1"/>
    </xf>
    <xf numFmtId="0" fontId="0" fillId="5" borderId="2" xfId="0" applyFill="1" applyBorder="1" applyAlignment="1">
      <alignment horizontal="centerContinuous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horizontal="right" wrapText="1"/>
    </xf>
    <xf numFmtId="0" fontId="0" fillId="6" borderId="0" xfId="0" applyFont="1" applyFill="1" applyAlignment="1">
      <alignment horizontal="right" wrapText="1"/>
    </xf>
    <xf numFmtId="0" fontId="0" fillId="6" borderId="0" xfId="0" applyFill="1" applyAlignment="1">
      <alignment/>
    </xf>
    <xf numFmtId="3" fontId="0" fillId="6" borderId="0" xfId="0" applyNumberFormat="1" applyFill="1" applyAlignment="1">
      <alignment/>
    </xf>
    <xf numFmtId="167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167" fontId="0" fillId="6" borderId="0" xfId="0" applyNumberFormat="1" applyFont="1" applyFill="1" applyAlignment="1">
      <alignment/>
    </xf>
    <xf numFmtId="2" fontId="0" fillId="6" borderId="0" xfId="0" applyNumberFormat="1" applyFont="1" applyFill="1" applyAlignment="1">
      <alignment/>
    </xf>
    <xf numFmtId="0" fontId="3" fillId="7" borderId="3" xfId="0" applyFont="1" applyFill="1" applyBorder="1" applyAlignment="1">
      <alignment/>
    </xf>
    <xf numFmtId="3" fontId="3" fillId="7" borderId="5" xfId="0" applyNumberFormat="1" applyFont="1" applyFill="1" applyBorder="1" applyAlignment="1">
      <alignment/>
    </xf>
    <xf numFmtId="0" fontId="3" fillId="7" borderId="4" xfId="0" applyFont="1" applyFill="1" applyBorder="1" applyAlignment="1">
      <alignment/>
    </xf>
    <xf numFmtId="3" fontId="3" fillId="7" borderId="6" xfId="0" applyNumberFormat="1" applyFont="1" applyFill="1" applyBorder="1" applyAlignment="1">
      <alignment/>
    </xf>
    <xf numFmtId="0" fontId="3" fillId="7" borderId="9" xfId="0" applyFont="1" applyFill="1" applyBorder="1" applyAlignment="1">
      <alignment/>
    </xf>
    <xf numFmtId="0" fontId="3" fillId="7" borderId="8" xfId="0" applyFont="1" applyFill="1" applyBorder="1" applyAlignment="1">
      <alignment/>
    </xf>
    <xf numFmtId="3" fontId="3" fillId="7" borderId="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8"/>
  <sheetViews>
    <sheetView tabSelected="1" workbookViewId="0" topLeftCell="C1">
      <selection activeCell="H1" sqref="H1"/>
    </sheetView>
  </sheetViews>
  <sheetFormatPr defaultColWidth="9.140625" defaultRowHeight="12.75"/>
  <cols>
    <col min="1" max="1" width="7.140625" style="0" customWidth="1"/>
    <col min="2" max="2" width="31.421875" style="0" bestFit="1" customWidth="1"/>
    <col min="11" max="11" width="10.8515625" style="0" customWidth="1"/>
    <col min="14" max="14" width="13.140625" style="0" hidden="1" customWidth="1"/>
    <col min="15" max="15" width="9.7109375" style="0" bestFit="1" customWidth="1"/>
  </cols>
  <sheetData>
    <row r="2" spans="2:5" ht="13.5" thickBot="1">
      <c r="B2" s="51" t="s">
        <v>42</v>
      </c>
      <c r="C2" s="52"/>
      <c r="E2" t="s">
        <v>44</v>
      </c>
    </row>
    <row r="3" spans="2:15" ht="80.25" customHeight="1" thickBot="1" thickTop="1">
      <c r="B3" s="30" t="s">
        <v>38</v>
      </c>
      <c r="C3" s="31"/>
      <c r="E3" s="32"/>
      <c r="F3" s="33" t="s">
        <v>17</v>
      </c>
      <c r="G3" s="33" t="s">
        <v>14</v>
      </c>
      <c r="H3" s="33" t="s">
        <v>16</v>
      </c>
      <c r="I3" s="33" t="s">
        <v>19</v>
      </c>
      <c r="J3" s="33" t="s">
        <v>15</v>
      </c>
      <c r="K3" s="34" t="s">
        <v>29</v>
      </c>
      <c r="L3" s="34" t="s">
        <v>28</v>
      </c>
      <c r="M3" s="33" t="s">
        <v>13</v>
      </c>
      <c r="N3" s="35"/>
      <c r="O3" s="34" t="s">
        <v>30</v>
      </c>
    </row>
    <row r="4" spans="2:15" ht="15.75" thickTop="1">
      <c r="B4" s="44" t="s">
        <v>20</v>
      </c>
      <c r="C4" s="45">
        <v>2500</v>
      </c>
      <c r="E4" s="35" t="s">
        <v>0</v>
      </c>
      <c r="F4" s="36">
        <f>C5</f>
        <v>3000</v>
      </c>
      <c r="G4" s="37">
        <f>'Irrigation Demand Estimates'!F3*'Irrigation Demand Estimates'!G3</f>
        <v>0</v>
      </c>
      <c r="H4" s="36">
        <f aca="true" t="shared" si="0" ref="H4:H15">F4+G4</f>
        <v>3000</v>
      </c>
      <c r="I4" s="38">
        <v>1.97</v>
      </c>
      <c r="J4" s="36">
        <f>C4</f>
        <v>2500</v>
      </c>
      <c r="K4" s="38">
        <v>0.62</v>
      </c>
      <c r="L4" s="35">
        <v>0.85</v>
      </c>
      <c r="M4" s="36">
        <f>I4*J4*K4*L4</f>
        <v>2595.475</v>
      </c>
      <c r="N4" s="36">
        <f>C7+M4-H4</f>
        <v>595.4749999999999</v>
      </c>
      <c r="O4" s="36">
        <f>IF(N4&lt;0,0,IF(N4&gt;C8,C8,N4))</f>
        <v>595.4749999999999</v>
      </c>
    </row>
    <row r="5" spans="2:15" ht="15">
      <c r="B5" s="46" t="s">
        <v>21</v>
      </c>
      <c r="C5" s="47">
        <v>3000</v>
      </c>
      <c r="E5" s="35" t="s">
        <v>1</v>
      </c>
      <c r="F5" s="36">
        <f aca="true" t="shared" si="1" ref="F5:F15">F4</f>
        <v>3000</v>
      </c>
      <c r="G5" s="37">
        <f>'Irrigation Demand Estimates'!F4*'Irrigation Demand Estimates'!G4</f>
        <v>0</v>
      </c>
      <c r="H5" s="36">
        <f t="shared" si="0"/>
        <v>3000</v>
      </c>
      <c r="I5" s="38">
        <v>2.4</v>
      </c>
      <c r="J5" s="36">
        <f>J4</f>
        <v>2500</v>
      </c>
      <c r="K5" s="38">
        <v>0.62</v>
      </c>
      <c r="L5" s="35">
        <v>0.85</v>
      </c>
      <c r="M5" s="36">
        <f aca="true" t="shared" si="2" ref="M5:M15">I5*J5*K5*L5</f>
        <v>3162</v>
      </c>
      <c r="N5" s="36">
        <f>N4+M5-H5</f>
        <v>757.4749999999999</v>
      </c>
      <c r="O5" s="36">
        <f>IF(N5&lt;0,0,IF(N5&gt;C8,C8,N5))</f>
        <v>757.4749999999999</v>
      </c>
    </row>
    <row r="6" spans="2:15" ht="15">
      <c r="B6" s="46" t="s">
        <v>41</v>
      </c>
      <c r="C6" s="47">
        <v>150</v>
      </c>
      <c r="E6" s="35" t="s">
        <v>2</v>
      </c>
      <c r="F6" s="36">
        <f t="shared" si="1"/>
        <v>3000</v>
      </c>
      <c r="G6" s="37">
        <f>C6</f>
        <v>150</v>
      </c>
      <c r="H6" s="36">
        <f t="shared" si="0"/>
        <v>3150</v>
      </c>
      <c r="I6" s="38">
        <v>2.91</v>
      </c>
      <c r="J6" s="36">
        <f aca="true" t="shared" si="3" ref="J6:J15">J5</f>
        <v>2500</v>
      </c>
      <c r="K6" s="38">
        <v>0.62</v>
      </c>
      <c r="L6" s="35">
        <v>0.85</v>
      </c>
      <c r="M6" s="36">
        <f t="shared" si="2"/>
        <v>3833.9249999999997</v>
      </c>
      <c r="N6" s="36">
        <f aca="true" t="shared" si="4" ref="N6:N15">N5+M6-H6</f>
        <v>1441.3999999999996</v>
      </c>
      <c r="O6" s="36">
        <f>IF(N6&lt;0,0,IF(N6&gt;C8,C8,N6))</f>
        <v>1441.3999999999996</v>
      </c>
    </row>
    <row r="7" spans="2:15" ht="15">
      <c r="B7" s="48" t="s">
        <v>40</v>
      </c>
      <c r="C7" s="47">
        <v>1000</v>
      </c>
      <c r="D7" s="12"/>
      <c r="E7" s="35" t="s">
        <v>3</v>
      </c>
      <c r="F7" s="36">
        <f t="shared" si="1"/>
        <v>3000</v>
      </c>
      <c r="G7" s="37">
        <f>G6</f>
        <v>150</v>
      </c>
      <c r="H7" s="36">
        <f t="shared" si="0"/>
        <v>3150</v>
      </c>
      <c r="I7" s="38">
        <v>3.81</v>
      </c>
      <c r="J7" s="36">
        <f t="shared" si="3"/>
        <v>2500</v>
      </c>
      <c r="K7" s="38">
        <v>0.62</v>
      </c>
      <c r="L7" s="35">
        <v>0.85</v>
      </c>
      <c r="M7" s="36">
        <f t="shared" si="2"/>
        <v>5019.675</v>
      </c>
      <c r="N7" s="36">
        <f t="shared" si="4"/>
        <v>3311.075</v>
      </c>
      <c r="O7" s="36">
        <f>IF(N7&lt;0,0,IF(N7&gt;C8,C8,N7))</f>
        <v>3311.075</v>
      </c>
    </row>
    <row r="8" spans="2:15" ht="15.75" thickBot="1">
      <c r="B8" s="49" t="s">
        <v>39</v>
      </c>
      <c r="C8" s="50">
        <v>10000</v>
      </c>
      <c r="D8" s="13"/>
      <c r="E8" s="35" t="s">
        <v>4</v>
      </c>
      <c r="F8" s="36">
        <f t="shared" si="1"/>
        <v>3000</v>
      </c>
      <c r="G8" s="37">
        <f aca="true" t="shared" si="5" ref="G8:G13">G7</f>
        <v>150</v>
      </c>
      <c r="H8" s="36">
        <f t="shared" si="0"/>
        <v>3150</v>
      </c>
      <c r="I8" s="38">
        <v>5.01</v>
      </c>
      <c r="J8" s="36">
        <f t="shared" si="3"/>
        <v>2500</v>
      </c>
      <c r="K8" s="38">
        <v>0.62</v>
      </c>
      <c r="L8" s="35">
        <v>0.85</v>
      </c>
      <c r="M8" s="36">
        <f t="shared" si="2"/>
        <v>6600.675</v>
      </c>
      <c r="N8" s="36">
        <f t="shared" si="4"/>
        <v>6761.75</v>
      </c>
      <c r="O8" s="36">
        <f>IF(N8&lt;0,0,IF(N8&gt;C8,C8,N8))</f>
        <v>6761.75</v>
      </c>
    </row>
    <row r="9" spans="4:15" ht="13.5" thickTop="1">
      <c r="D9" s="13"/>
      <c r="E9" s="35" t="s">
        <v>5</v>
      </c>
      <c r="F9" s="36">
        <f t="shared" si="1"/>
        <v>3000</v>
      </c>
      <c r="G9" s="37">
        <f t="shared" si="5"/>
        <v>150</v>
      </c>
      <c r="H9" s="36">
        <f t="shared" si="0"/>
        <v>3150</v>
      </c>
      <c r="I9" s="38">
        <v>3.12</v>
      </c>
      <c r="J9" s="36">
        <f t="shared" si="3"/>
        <v>2500</v>
      </c>
      <c r="K9" s="38">
        <v>0.62</v>
      </c>
      <c r="L9" s="35">
        <v>0.85</v>
      </c>
      <c r="M9" s="36">
        <f t="shared" si="2"/>
        <v>4110.599999999999</v>
      </c>
      <c r="N9" s="36">
        <f t="shared" si="4"/>
        <v>7722.3499999999985</v>
      </c>
      <c r="O9" s="36">
        <f>IF(N9&lt;0,0,IF(N9&gt;C8,C8,N9))</f>
        <v>7722.3499999999985</v>
      </c>
    </row>
    <row r="10" spans="4:15" ht="12.75">
      <c r="D10" s="13"/>
      <c r="E10" s="35" t="s">
        <v>6</v>
      </c>
      <c r="F10" s="36">
        <f t="shared" si="1"/>
        <v>3000</v>
      </c>
      <c r="G10" s="37">
        <f t="shared" si="5"/>
        <v>150</v>
      </c>
      <c r="H10" s="36">
        <f t="shared" si="0"/>
        <v>3150</v>
      </c>
      <c r="I10" s="38">
        <v>2.04</v>
      </c>
      <c r="J10" s="36">
        <f t="shared" si="3"/>
        <v>2500</v>
      </c>
      <c r="K10" s="38">
        <v>0.62</v>
      </c>
      <c r="L10" s="35">
        <v>0.85</v>
      </c>
      <c r="M10" s="36">
        <f t="shared" si="2"/>
        <v>2687.7</v>
      </c>
      <c r="N10" s="36">
        <f t="shared" si="4"/>
        <v>7260.049999999999</v>
      </c>
      <c r="O10" s="36">
        <f>IF(N10&lt;0,0,IF(N10&gt;C8,C8,N10))</f>
        <v>7260.049999999999</v>
      </c>
    </row>
    <row r="11" spans="5:15" ht="12.75">
      <c r="E11" s="35" t="s">
        <v>7</v>
      </c>
      <c r="F11" s="36">
        <f t="shared" si="1"/>
        <v>3000</v>
      </c>
      <c r="G11" s="37">
        <f t="shared" si="5"/>
        <v>150</v>
      </c>
      <c r="H11" s="36">
        <f t="shared" si="0"/>
        <v>3150</v>
      </c>
      <c r="I11" s="38">
        <v>2.07</v>
      </c>
      <c r="J11" s="36">
        <f t="shared" si="3"/>
        <v>2500</v>
      </c>
      <c r="K11" s="38">
        <v>0.62</v>
      </c>
      <c r="L11" s="35">
        <v>0.85</v>
      </c>
      <c r="M11" s="36">
        <f t="shared" si="2"/>
        <v>2727.225</v>
      </c>
      <c r="N11" s="36">
        <f t="shared" si="4"/>
        <v>6837.275</v>
      </c>
      <c r="O11" s="36">
        <f>IF(N11&lt;0,0,IF(N11&gt;C8,C8,N11))</f>
        <v>6837.275</v>
      </c>
    </row>
    <row r="12" spans="5:15" ht="12.75">
      <c r="E12" s="35" t="s">
        <v>8</v>
      </c>
      <c r="F12" s="36">
        <f t="shared" si="1"/>
        <v>3000</v>
      </c>
      <c r="G12" s="37">
        <f t="shared" si="5"/>
        <v>150</v>
      </c>
      <c r="H12" s="36">
        <f t="shared" si="0"/>
        <v>3150</v>
      </c>
      <c r="I12" s="38">
        <v>2.67</v>
      </c>
      <c r="J12" s="36">
        <f t="shared" si="3"/>
        <v>2500</v>
      </c>
      <c r="K12" s="38">
        <v>0.62</v>
      </c>
      <c r="L12" s="35">
        <v>0.85</v>
      </c>
      <c r="M12" s="36">
        <f t="shared" si="2"/>
        <v>3517.725</v>
      </c>
      <c r="N12" s="36">
        <f t="shared" si="4"/>
        <v>7205</v>
      </c>
      <c r="O12" s="36">
        <f>IF(N12&lt;0,0,IF(N12&gt;C8,C8,N12))</f>
        <v>7205</v>
      </c>
    </row>
    <row r="13" spans="5:15" ht="12.75">
      <c r="E13" s="35" t="s">
        <v>9</v>
      </c>
      <c r="F13" s="36">
        <f t="shared" si="1"/>
        <v>3000</v>
      </c>
      <c r="G13" s="37">
        <f t="shared" si="5"/>
        <v>150</v>
      </c>
      <c r="H13" s="36">
        <f t="shared" si="0"/>
        <v>3150</v>
      </c>
      <c r="I13" s="38">
        <v>3.76</v>
      </c>
      <c r="J13" s="36">
        <f t="shared" si="3"/>
        <v>2500</v>
      </c>
      <c r="K13" s="38">
        <v>0.62</v>
      </c>
      <c r="L13" s="35">
        <v>0.85</v>
      </c>
      <c r="M13" s="36">
        <f t="shared" si="2"/>
        <v>4953.8</v>
      </c>
      <c r="N13" s="36">
        <f t="shared" si="4"/>
        <v>9008.8</v>
      </c>
      <c r="O13" s="36">
        <f>IF(N13&lt;0,0,IF(N13&gt;C8,C8,N13))</f>
        <v>9008.8</v>
      </c>
    </row>
    <row r="14" spans="5:15" ht="12.75">
      <c r="E14" s="35" t="s">
        <v>10</v>
      </c>
      <c r="F14" s="36">
        <f t="shared" si="1"/>
        <v>3000</v>
      </c>
      <c r="G14" s="37">
        <f>'Irrigation Demand Estimates'!F13*'Irrigation Demand Estimates'!G13</f>
        <v>0</v>
      </c>
      <c r="H14" s="36">
        <f t="shared" si="0"/>
        <v>3000</v>
      </c>
      <c r="I14" s="38">
        <v>2.7</v>
      </c>
      <c r="J14" s="36">
        <f t="shared" si="3"/>
        <v>2500</v>
      </c>
      <c r="K14" s="38">
        <v>0.62</v>
      </c>
      <c r="L14" s="35">
        <v>0.85</v>
      </c>
      <c r="M14" s="36">
        <f t="shared" si="2"/>
        <v>3557.25</v>
      </c>
      <c r="N14" s="36">
        <f t="shared" si="4"/>
        <v>9566.05</v>
      </c>
      <c r="O14" s="36">
        <f>IF(N14&lt;0,0,IF(N14&gt;C8,C8,N14))</f>
        <v>9566.05</v>
      </c>
    </row>
    <row r="15" spans="5:15" ht="12.75">
      <c r="E15" s="35" t="s">
        <v>11</v>
      </c>
      <c r="F15" s="36">
        <f t="shared" si="1"/>
        <v>3000</v>
      </c>
      <c r="G15" s="37">
        <f>'Irrigation Demand Estimates'!F14*'Irrigation Demand Estimates'!G14</f>
        <v>0</v>
      </c>
      <c r="H15" s="36">
        <f t="shared" si="0"/>
        <v>3000</v>
      </c>
      <c r="I15" s="38">
        <v>2.64</v>
      </c>
      <c r="J15" s="36">
        <f t="shared" si="3"/>
        <v>2500</v>
      </c>
      <c r="K15" s="38">
        <v>0.62</v>
      </c>
      <c r="L15" s="35">
        <v>0.85</v>
      </c>
      <c r="M15" s="36">
        <f t="shared" si="2"/>
        <v>3478.2</v>
      </c>
      <c r="N15" s="36">
        <f t="shared" si="4"/>
        <v>10044.25</v>
      </c>
      <c r="O15" s="36">
        <f>IF(N15&lt;0,0,IF(N15&gt;C8,C8,N15))</f>
        <v>10000</v>
      </c>
    </row>
    <row r="16" spans="6:15" s="18" customFormat="1" ht="12.75">
      <c r="F16" s="19"/>
      <c r="G16" s="20"/>
      <c r="H16" s="19"/>
      <c r="I16" s="21"/>
      <c r="J16" s="19"/>
      <c r="K16" s="21"/>
      <c r="M16" s="19"/>
      <c r="N16" s="19"/>
      <c r="O16" s="19"/>
    </row>
    <row r="17" spans="5:14" ht="12.75">
      <c r="E17" s="18"/>
      <c r="F17" s="19"/>
      <c r="G17" s="20"/>
      <c r="H17" s="19"/>
      <c r="I17" s="21"/>
      <c r="J17" s="19"/>
      <c r="K17" s="21"/>
      <c r="L17" s="18"/>
      <c r="M17" s="22"/>
      <c r="N17" s="19"/>
    </row>
    <row r="18" spans="5:11" ht="12.75">
      <c r="E18" t="s">
        <v>45</v>
      </c>
      <c r="K18" s="1"/>
    </row>
    <row r="19" spans="5:15" ht="76.5">
      <c r="E19" s="39"/>
      <c r="F19" s="34" t="s">
        <v>17</v>
      </c>
      <c r="G19" s="34" t="s">
        <v>14</v>
      </c>
      <c r="H19" s="34" t="s">
        <v>16</v>
      </c>
      <c r="I19" s="34" t="s">
        <v>12</v>
      </c>
      <c r="J19" s="34" t="s">
        <v>15</v>
      </c>
      <c r="K19" s="34" t="s">
        <v>29</v>
      </c>
      <c r="L19" s="34" t="s">
        <v>28</v>
      </c>
      <c r="M19" s="34" t="s">
        <v>13</v>
      </c>
      <c r="N19" s="35"/>
      <c r="O19" s="34" t="s">
        <v>30</v>
      </c>
    </row>
    <row r="20" spans="5:15" ht="12.75">
      <c r="E20" s="40" t="s">
        <v>0</v>
      </c>
      <c r="F20" s="41">
        <f>C5</f>
        <v>3000</v>
      </c>
      <c r="G20" s="42">
        <f>'Irrigation Demand Estimates'!F19*'Irrigation Demand Estimates'!G19</f>
        <v>0</v>
      </c>
      <c r="H20" s="41">
        <f aca="true" t="shared" si="6" ref="H20:H31">F20+G20</f>
        <v>3000</v>
      </c>
      <c r="I20" s="43">
        <v>1.8</v>
      </c>
      <c r="J20" s="36">
        <f>C4</f>
        <v>2500</v>
      </c>
      <c r="K20" s="43">
        <v>0.62</v>
      </c>
      <c r="L20" s="40">
        <v>0.85</v>
      </c>
      <c r="M20" s="41">
        <f aca="true" t="shared" si="7" ref="M20:M31">I20*J20*K20*L20</f>
        <v>2371.5</v>
      </c>
      <c r="N20" s="41">
        <f>C7+M20-H20</f>
        <v>371.5</v>
      </c>
      <c r="O20" s="36">
        <f>IF(N20&lt;0,0,IF(N20&gt;C8,C8,N20))</f>
        <v>371.5</v>
      </c>
    </row>
    <row r="21" spans="5:15" ht="12.75">
      <c r="E21" s="40" t="s">
        <v>1</v>
      </c>
      <c r="F21" s="36">
        <f aca="true" t="shared" si="8" ref="F21:F31">F20</f>
        <v>3000</v>
      </c>
      <c r="G21" s="42">
        <f>'Irrigation Demand Estimates'!F20*'Irrigation Demand Estimates'!G20</f>
        <v>0</v>
      </c>
      <c r="H21" s="41">
        <f t="shared" si="6"/>
        <v>3000</v>
      </c>
      <c r="I21" s="43">
        <v>2.11</v>
      </c>
      <c r="J21" s="36">
        <f>J20</f>
        <v>2500</v>
      </c>
      <c r="K21" s="43">
        <v>0.62</v>
      </c>
      <c r="L21" s="40">
        <v>0.85</v>
      </c>
      <c r="M21" s="41">
        <f t="shared" si="7"/>
        <v>2779.9249999999997</v>
      </c>
      <c r="N21" s="36">
        <f aca="true" t="shared" si="9" ref="N21:N31">N20+M21-H21</f>
        <v>151.42499999999973</v>
      </c>
      <c r="O21" s="36">
        <f>IF(N21&lt;0,0,IF(N21&gt;C8,C8,N21))</f>
        <v>151.42499999999973</v>
      </c>
    </row>
    <row r="22" spans="5:15" ht="12.75">
      <c r="E22" s="40" t="s">
        <v>2</v>
      </c>
      <c r="F22" s="36">
        <f t="shared" si="8"/>
        <v>3000</v>
      </c>
      <c r="G22" s="37">
        <f>C6</f>
        <v>150</v>
      </c>
      <c r="H22" s="41">
        <f t="shared" si="6"/>
        <v>3150</v>
      </c>
      <c r="I22" s="43">
        <v>2.36</v>
      </c>
      <c r="J22" s="36">
        <f aca="true" t="shared" si="10" ref="J22:J31">J21</f>
        <v>2500</v>
      </c>
      <c r="K22" s="43">
        <v>0.62</v>
      </c>
      <c r="L22" s="40">
        <v>0.85</v>
      </c>
      <c r="M22" s="41">
        <f t="shared" si="7"/>
        <v>3109.2999999999997</v>
      </c>
      <c r="N22" s="36">
        <f t="shared" si="9"/>
        <v>110.72499999999945</v>
      </c>
      <c r="O22" s="36">
        <f>IF(N22&lt;0,0,IF(N22&gt;C8,C8,N22))</f>
        <v>110.72499999999945</v>
      </c>
    </row>
    <row r="23" spans="5:15" ht="12.75">
      <c r="E23" s="40" t="s">
        <v>3</v>
      </c>
      <c r="F23" s="36">
        <f t="shared" si="8"/>
        <v>3000</v>
      </c>
      <c r="G23" s="37">
        <f>G22</f>
        <v>150</v>
      </c>
      <c r="H23" s="41">
        <f t="shared" si="6"/>
        <v>3150</v>
      </c>
      <c r="I23" s="43">
        <v>2.98</v>
      </c>
      <c r="J23" s="36">
        <f t="shared" si="10"/>
        <v>2500</v>
      </c>
      <c r="K23" s="43">
        <v>0.62</v>
      </c>
      <c r="L23" s="40">
        <v>0.85</v>
      </c>
      <c r="M23" s="41">
        <f t="shared" si="7"/>
        <v>3926.15</v>
      </c>
      <c r="N23" s="36">
        <f t="shared" si="9"/>
        <v>886.8749999999995</v>
      </c>
      <c r="O23" s="36">
        <f>IF(N23&lt;0,0,IF(N23&gt;C8,C8,N23))</f>
        <v>886.8749999999995</v>
      </c>
    </row>
    <row r="24" spans="5:15" ht="12.75">
      <c r="E24" s="40" t="s">
        <v>4</v>
      </c>
      <c r="F24" s="36">
        <f t="shared" si="8"/>
        <v>3000</v>
      </c>
      <c r="G24" s="37">
        <f aca="true" t="shared" si="11" ref="G24:G29">G23</f>
        <v>150</v>
      </c>
      <c r="H24" s="41">
        <f t="shared" si="6"/>
        <v>3150</v>
      </c>
      <c r="I24" s="43">
        <v>4.27</v>
      </c>
      <c r="J24" s="36">
        <f t="shared" si="10"/>
        <v>2500</v>
      </c>
      <c r="K24" s="43">
        <v>0.62</v>
      </c>
      <c r="L24" s="40">
        <v>0.85</v>
      </c>
      <c r="M24" s="41">
        <f t="shared" si="7"/>
        <v>5625.724999999999</v>
      </c>
      <c r="N24" s="36">
        <f t="shared" si="9"/>
        <v>3362.5999999999985</v>
      </c>
      <c r="O24" s="36">
        <f>IF(N24&lt;0,0,IF(N24&gt;C8,C8,N24))</f>
        <v>3362.5999999999985</v>
      </c>
    </row>
    <row r="25" spans="5:15" ht="12.75">
      <c r="E25" s="40" t="s">
        <v>5</v>
      </c>
      <c r="F25" s="36">
        <f t="shared" si="8"/>
        <v>3000</v>
      </c>
      <c r="G25" s="37">
        <f t="shared" si="11"/>
        <v>150</v>
      </c>
      <c r="H25" s="41">
        <f t="shared" si="6"/>
        <v>3150</v>
      </c>
      <c r="I25" s="43">
        <v>2.85</v>
      </c>
      <c r="J25" s="36">
        <f t="shared" si="10"/>
        <v>2500</v>
      </c>
      <c r="K25" s="43">
        <v>0.62</v>
      </c>
      <c r="L25" s="40">
        <v>0.85</v>
      </c>
      <c r="M25" s="41">
        <f t="shared" si="7"/>
        <v>3754.875</v>
      </c>
      <c r="N25" s="36">
        <f t="shared" si="9"/>
        <v>3967.4749999999985</v>
      </c>
      <c r="O25" s="36">
        <f>IF(N25&lt;0,0,IF(N25&gt;C8,C8,N25))</f>
        <v>3967.4749999999985</v>
      </c>
    </row>
    <row r="26" spans="5:15" ht="12.75">
      <c r="E26" s="40" t="s">
        <v>6</v>
      </c>
      <c r="F26" s="36">
        <f t="shared" si="8"/>
        <v>3000</v>
      </c>
      <c r="G26" s="37">
        <f t="shared" si="11"/>
        <v>150</v>
      </c>
      <c r="H26" s="41">
        <f t="shared" si="6"/>
        <v>3150</v>
      </c>
      <c r="I26" s="43">
        <v>1.6</v>
      </c>
      <c r="J26" s="36">
        <f t="shared" si="10"/>
        <v>2500</v>
      </c>
      <c r="K26" s="43">
        <v>0.62</v>
      </c>
      <c r="L26" s="40">
        <v>0.85</v>
      </c>
      <c r="M26" s="41">
        <f t="shared" si="7"/>
        <v>2108</v>
      </c>
      <c r="N26" s="36">
        <f t="shared" si="9"/>
        <v>2925.4749999999985</v>
      </c>
      <c r="O26" s="36">
        <f>IF(N26&lt;0,0,IF(N26&gt;C8,C8,N26))</f>
        <v>2925.4749999999985</v>
      </c>
    </row>
    <row r="27" spans="5:15" ht="12.75">
      <c r="E27" s="40" t="s">
        <v>7</v>
      </c>
      <c r="F27" s="36">
        <f t="shared" si="8"/>
        <v>3000</v>
      </c>
      <c r="G27" s="37">
        <f t="shared" si="11"/>
        <v>150</v>
      </c>
      <c r="H27" s="41">
        <f t="shared" si="6"/>
        <v>3150</v>
      </c>
      <c r="I27" s="43">
        <v>1.74</v>
      </c>
      <c r="J27" s="36">
        <f t="shared" si="10"/>
        <v>2500</v>
      </c>
      <c r="K27" s="43">
        <v>0.62</v>
      </c>
      <c r="L27" s="40">
        <v>0.85</v>
      </c>
      <c r="M27" s="41">
        <f t="shared" si="7"/>
        <v>2292.45</v>
      </c>
      <c r="N27" s="36">
        <f t="shared" si="9"/>
        <v>2067.9249999999984</v>
      </c>
      <c r="O27" s="36">
        <f>IF(N27&lt;0,0,IF(N27&gt;C8,C8,N27))</f>
        <v>2067.9249999999984</v>
      </c>
    </row>
    <row r="28" spans="5:15" ht="12.75">
      <c r="E28" s="40" t="s">
        <v>8</v>
      </c>
      <c r="F28" s="36">
        <f t="shared" si="8"/>
        <v>3000</v>
      </c>
      <c r="G28" s="37">
        <f t="shared" si="11"/>
        <v>150</v>
      </c>
      <c r="H28" s="41">
        <f t="shared" si="6"/>
        <v>3150</v>
      </c>
      <c r="I28" s="43">
        <v>2.5</v>
      </c>
      <c r="J28" s="36">
        <f t="shared" si="10"/>
        <v>2500</v>
      </c>
      <c r="K28" s="43">
        <v>0.62</v>
      </c>
      <c r="L28" s="40">
        <v>0.85</v>
      </c>
      <c r="M28" s="41">
        <f t="shared" si="7"/>
        <v>3293.75</v>
      </c>
      <c r="N28" s="36">
        <f t="shared" si="9"/>
        <v>2211.6749999999984</v>
      </c>
      <c r="O28" s="36">
        <f>IF(N28&lt;0,0,IF(N28&gt;C8,C8,N28))</f>
        <v>2211.6749999999984</v>
      </c>
    </row>
    <row r="29" spans="5:15" ht="12.75">
      <c r="E29" s="40" t="s">
        <v>9</v>
      </c>
      <c r="F29" s="36">
        <f t="shared" si="8"/>
        <v>3000</v>
      </c>
      <c r="G29" s="37">
        <f t="shared" si="11"/>
        <v>150</v>
      </c>
      <c r="H29" s="41">
        <f t="shared" si="6"/>
        <v>3150</v>
      </c>
      <c r="I29" s="43">
        <v>2.94</v>
      </c>
      <c r="J29" s="36">
        <f t="shared" si="10"/>
        <v>2500</v>
      </c>
      <c r="K29" s="43">
        <v>0.62</v>
      </c>
      <c r="L29" s="40">
        <v>0.85</v>
      </c>
      <c r="M29" s="41">
        <f t="shared" si="7"/>
        <v>3873.45</v>
      </c>
      <c r="N29" s="36">
        <f t="shared" si="9"/>
        <v>2935.124999999998</v>
      </c>
      <c r="O29" s="36">
        <f>IF(N29&lt;0,0,IF(N29&gt;C8,C8,N29))</f>
        <v>2935.124999999998</v>
      </c>
    </row>
    <row r="30" spans="5:15" ht="12.75">
      <c r="E30" s="40" t="s">
        <v>10</v>
      </c>
      <c r="F30" s="36">
        <f t="shared" si="8"/>
        <v>3000</v>
      </c>
      <c r="G30" s="42">
        <f>'Irrigation Demand Estimates'!F29*'Irrigation Demand Estimates'!G29</f>
        <v>0</v>
      </c>
      <c r="H30" s="41">
        <f t="shared" si="6"/>
        <v>3000</v>
      </c>
      <c r="I30" s="43">
        <v>2</v>
      </c>
      <c r="J30" s="36">
        <f>J29</f>
        <v>2500</v>
      </c>
      <c r="K30" s="43">
        <v>0.62</v>
      </c>
      <c r="L30" s="40">
        <v>0.85</v>
      </c>
      <c r="M30" s="41">
        <f t="shared" si="7"/>
        <v>2635</v>
      </c>
      <c r="N30" s="36">
        <f t="shared" si="9"/>
        <v>2570.124999999998</v>
      </c>
      <c r="O30" s="36">
        <f>IF(N30&lt;0,0,IF(N30&gt;C8,C8,N30))</f>
        <v>2570.124999999998</v>
      </c>
    </row>
    <row r="31" spans="5:15" ht="12.75">
      <c r="E31" s="40" t="s">
        <v>11</v>
      </c>
      <c r="F31" s="36">
        <f t="shared" si="8"/>
        <v>3000</v>
      </c>
      <c r="G31" s="42">
        <f>'Irrigation Demand Estimates'!F30*'Irrigation Demand Estimates'!G30</f>
        <v>0</v>
      </c>
      <c r="H31" s="41">
        <f t="shared" si="6"/>
        <v>3000</v>
      </c>
      <c r="I31" s="43">
        <v>2.1</v>
      </c>
      <c r="J31" s="36">
        <f t="shared" si="10"/>
        <v>2500</v>
      </c>
      <c r="K31" s="43">
        <v>0.62</v>
      </c>
      <c r="L31" s="40">
        <v>0.85</v>
      </c>
      <c r="M31" s="41">
        <f t="shared" si="7"/>
        <v>2766.75</v>
      </c>
      <c r="N31" s="36">
        <f t="shared" si="9"/>
        <v>2336.874999999998</v>
      </c>
      <c r="O31" s="36">
        <f>IF(N31&lt;0,0,IF(N31&gt;C8,C8,N31))</f>
        <v>2336.874999999998</v>
      </c>
    </row>
    <row r="32" s="18" customFormat="1" ht="12.75">
      <c r="K32" s="21"/>
    </row>
    <row r="33" spans="11:13" ht="12.75">
      <c r="K33" s="1"/>
      <c r="M33" s="22"/>
    </row>
    <row r="34" spans="2:15" ht="29.25" customHeight="1">
      <c r="B34" s="54" t="s">
        <v>43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5"/>
    </row>
    <row r="35" ht="12.75">
      <c r="K35" s="1"/>
    </row>
    <row r="36" spans="2:14" ht="27" customHeight="1">
      <c r="B36" s="53" t="s">
        <v>37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8" ht="12.75">
      <c r="B38" t="s">
        <v>46</v>
      </c>
    </row>
  </sheetData>
  <mergeCells count="2">
    <mergeCell ref="B36:N36"/>
    <mergeCell ref="B34:O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B5" sqref="B5"/>
    </sheetView>
  </sheetViews>
  <sheetFormatPr defaultColWidth="9.140625" defaultRowHeight="12.75"/>
  <cols>
    <col min="2" max="2" width="31.421875" style="0" bestFit="1" customWidth="1"/>
    <col min="3" max="3" width="15.140625" style="0" customWidth="1"/>
    <col min="7" max="7" width="0" style="0" hidden="1" customWidth="1"/>
    <col min="12" max="12" width="12.00390625" style="0" customWidth="1"/>
    <col min="15" max="15" width="9.140625" style="0" hidden="1" customWidth="1"/>
    <col min="18" max="18" width="0" style="0" hidden="1" customWidth="1"/>
  </cols>
  <sheetData>
    <row r="1" spans="1:5" ht="13.5" thickBot="1">
      <c r="A1" s="2"/>
      <c r="E1" t="s">
        <v>25</v>
      </c>
    </row>
    <row r="2" spans="2:18" ht="90.75" thickBot="1" thickTop="1">
      <c r="B2" s="14" t="s">
        <v>22</v>
      </c>
      <c r="C2" s="15"/>
      <c r="E2" s="3"/>
      <c r="F2" s="26" t="s">
        <v>23</v>
      </c>
      <c r="H2" s="26" t="s">
        <v>32</v>
      </c>
      <c r="I2" s="26" t="s">
        <v>24</v>
      </c>
      <c r="J2" s="26" t="s">
        <v>19</v>
      </c>
      <c r="K2" s="26" t="s">
        <v>15</v>
      </c>
      <c r="L2" s="27" t="s">
        <v>29</v>
      </c>
      <c r="M2" s="27" t="s">
        <v>28</v>
      </c>
      <c r="N2" s="26" t="s">
        <v>13</v>
      </c>
      <c r="P2" s="27" t="s">
        <v>35</v>
      </c>
      <c r="R2" t="s">
        <v>31</v>
      </c>
    </row>
    <row r="3" spans="2:18" ht="15.75" thickTop="1">
      <c r="B3" s="16" t="s">
        <v>20</v>
      </c>
      <c r="C3" s="23">
        <v>2500</v>
      </c>
      <c r="E3" s="5" t="s">
        <v>0</v>
      </c>
      <c r="F3" s="6">
        <f>C4</f>
        <v>4000</v>
      </c>
      <c r="G3" s="7">
        <v>0</v>
      </c>
      <c r="H3" s="7">
        <f>IF(G3&lt;0,0,G3)</f>
        <v>0</v>
      </c>
      <c r="I3" s="8">
        <f>G3*0.62*F3</f>
        <v>0</v>
      </c>
      <c r="J3" s="7">
        <v>1.97</v>
      </c>
      <c r="K3" s="6">
        <f>C3</f>
        <v>2500</v>
      </c>
      <c r="L3" s="7">
        <v>0.62</v>
      </c>
      <c r="M3" s="5">
        <v>0.85</v>
      </c>
      <c r="N3" s="6">
        <f aca="true" t="shared" si="0" ref="N3:N14">J3*K3*L3*M3</f>
        <v>2595.475</v>
      </c>
      <c r="O3" s="6">
        <f>+N3-I3</f>
        <v>2595.475</v>
      </c>
      <c r="P3" s="6">
        <f>IF(O3&lt;0,0,IF(O3&gt;C5,C5,O3))</f>
        <v>2595.475</v>
      </c>
      <c r="R3">
        <v>1.0250526315789474</v>
      </c>
    </row>
    <row r="4" spans="2:19" ht="15">
      <c r="B4" s="17" t="s">
        <v>27</v>
      </c>
      <c r="C4" s="24">
        <v>4000</v>
      </c>
      <c r="E4" s="5" t="s">
        <v>1</v>
      </c>
      <c r="F4" s="6">
        <f>F3</f>
        <v>4000</v>
      </c>
      <c r="G4" s="7">
        <v>0</v>
      </c>
      <c r="H4" s="7">
        <f>IF(G4&lt;0,0,G4)</f>
        <v>0</v>
      </c>
      <c r="I4" s="8">
        <f>G4*0.62*F4</f>
        <v>0</v>
      </c>
      <c r="J4" s="7">
        <v>2.4</v>
      </c>
      <c r="K4" s="6">
        <f>K3</f>
        <v>2500</v>
      </c>
      <c r="L4" s="7">
        <v>0.62</v>
      </c>
      <c r="M4" s="5">
        <v>0.85</v>
      </c>
      <c r="N4" s="6">
        <f t="shared" si="0"/>
        <v>3162</v>
      </c>
      <c r="O4" s="6">
        <f>P3+N4-I4</f>
        <v>5757.475</v>
      </c>
      <c r="P4" s="6">
        <f>IF(O4&lt;0,0,IF(O4&gt;C5,C5,O4))</f>
        <v>5757.475</v>
      </c>
      <c r="R4">
        <v>1.3686315789473689</v>
      </c>
      <c r="S4" s="29"/>
    </row>
    <row r="5" spans="2:19" ht="15.75" thickBot="1">
      <c r="B5" s="28" t="s">
        <v>48</v>
      </c>
      <c r="C5" s="25">
        <v>12000</v>
      </c>
      <c r="E5" s="5" t="s">
        <v>2</v>
      </c>
      <c r="F5" s="6">
        <f aca="true" t="shared" si="1" ref="F5:F14">F4</f>
        <v>4000</v>
      </c>
      <c r="G5" s="7">
        <f>R5-J5</f>
        <v>-0.4158947368421049</v>
      </c>
      <c r="H5" s="7">
        <f>IF(G5&lt;0,0,G5)</f>
        <v>0</v>
      </c>
      <c r="I5" s="8">
        <f>H5*0.62*F5</f>
        <v>0</v>
      </c>
      <c r="J5" s="7">
        <v>2.91</v>
      </c>
      <c r="K5" s="6">
        <f aca="true" t="shared" si="2" ref="K5:K14">K4</f>
        <v>2500</v>
      </c>
      <c r="L5" s="7">
        <v>0.62</v>
      </c>
      <c r="M5" s="5">
        <v>0.85</v>
      </c>
      <c r="N5" s="6">
        <f t="shared" si="0"/>
        <v>3833.9249999999997</v>
      </c>
      <c r="O5" s="6">
        <f>P4+N5-I5</f>
        <v>9591.4</v>
      </c>
      <c r="P5" s="6">
        <f>IF(O5&lt;0,0,IF(O5&gt;C5,C5,O5))</f>
        <v>9591.4</v>
      </c>
      <c r="R5">
        <v>2.4941052631578953</v>
      </c>
      <c r="S5" s="29"/>
    </row>
    <row r="6" spans="5:19" ht="13.5" thickTop="1">
      <c r="E6" s="5" t="s">
        <v>3</v>
      </c>
      <c r="F6" s="6">
        <f t="shared" si="1"/>
        <v>4000</v>
      </c>
      <c r="G6" s="7">
        <f aca="true" t="shared" si="3" ref="G6:G12">R6-J6</f>
        <v>-0.7332631578947364</v>
      </c>
      <c r="H6" s="7">
        <f aca="true" t="shared" si="4" ref="H6:H14">IF(G6&lt;0,0,G6)</f>
        <v>0</v>
      </c>
      <c r="I6" s="8">
        <f aca="true" t="shared" si="5" ref="I6:I12">H6*0.62*F6</f>
        <v>0</v>
      </c>
      <c r="J6" s="7">
        <v>3.81</v>
      </c>
      <c r="K6" s="6">
        <f t="shared" si="2"/>
        <v>2500</v>
      </c>
      <c r="L6" s="7">
        <v>0.62</v>
      </c>
      <c r="M6" s="5">
        <v>0.85</v>
      </c>
      <c r="N6" s="6">
        <f t="shared" si="0"/>
        <v>5019.675</v>
      </c>
      <c r="O6" s="6">
        <f>P5+N6-I6</f>
        <v>14611.075</v>
      </c>
      <c r="P6" s="6">
        <f>IF(O6&lt;0,0,IF(O6&gt;C5,C5,O6))</f>
        <v>12000</v>
      </c>
      <c r="R6">
        <v>3.0767368421052637</v>
      </c>
      <c r="S6" s="29"/>
    </row>
    <row r="7" spans="5:19" ht="12.75">
      <c r="E7" s="5" t="s">
        <v>4</v>
      </c>
      <c r="F7" s="6">
        <f t="shared" si="1"/>
        <v>4000</v>
      </c>
      <c r="G7" s="7">
        <f t="shared" si="3"/>
        <v>-0.44399999999999995</v>
      </c>
      <c r="H7" s="7">
        <f t="shared" si="4"/>
        <v>0</v>
      </c>
      <c r="I7" s="8">
        <f t="shared" si="5"/>
        <v>0</v>
      </c>
      <c r="J7" s="7">
        <v>5.01</v>
      </c>
      <c r="K7" s="6">
        <f t="shared" si="2"/>
        <v>2500</v>
      </c>
      <c r="L7" s="7">
        <v>0.62</v>
      </c>
      <c r="M7" s="5">
        <v>0.85</v>
      </c>
      <c r="N7" s="6">
        <f t="shared" si="0"/>
        <v>6600.675</v>
      </c>
      <c r="O7" s="6">
        <f>P6+N7-I7</f>
        <v>18600.675</v>
      </c>
      <c r="P7" s="6">
        <f>IF(O7&lt;0,0,IF(O7&gt;C5,C5,O7))</f>
        <v>12000</v>
      </c>
      <c r="R7">
        <v>4.566</v>
      </c>
      <c r="S7" s="29"/>
    </row>
    <row r="8" spans="5:19" ht="12.75">
      <c r="E8" s="5" t="s">
        <v>5</v>
      </c>
      <c r="F8" s="6">
        <f t="shared" si="1"/>
        <v>4000</v>
      </c>
      <c r="G8" s="7">
        <f t="shared" si="3"/>
        <v>1.8704210526315794</v>
      </c>
      <c r="H8" s="7">
        <f t="shared" si="4"/>
        <v>1.8704210526315794</v>
      </c>
      <c r="I8" s="8">
        <f t="shared" si="5"/>
        <v>4638.644210526317</v>
      </c>
      <c r="J8" s="7">
        <v>3.12</v>
      </c>
      <c r="K8" s="6">
        <f t="shared" si="2"/>
        <v>2500</v>
      </c>
      <c r="L8" s="7">
        <v>0.62</v>
      </c>
      <c r="M8" s="5">
        <v>0.85</v>
      </c>
      <c r="N8" s="6">
        <f t="shared" si="0"/>
        <v>4110.599999999999</v>
      </c>
      <c r="O8" s="6">
        <f>P7+N8-I8</f>
        <v>11471.955789473683</v>
      </c>
      <c r="P8" s="6">
        <f>IF(O8&lt;0,0,IF(O8&gt;C5,C5,O8))</f>
        <v>11471.955789473683</v>
      </c>
      <c r="R8">
        <v>4.9904210526315795</v>
      </c>
      <c r="S8" s="29"/>
    </row>
    <row r="9" spans="5:19" ht="12.75">
      <c r="E9" s="5" t="s">
        <v>6</v>
      </c>
      <c r="F9" s="6">
        <f t="shared" si="1"/>
        <v>4000</v>
      </c>
      <c r="G9" s="7">
        <f t="shared" si="3"/>
        <v>2.9081052631578945</v>
      </c>
      <c r="H9" s="7">
        <f t="shared" si="4"/>
        <v>2.9081052631578945</v>
      </c>
      <c r="I9" s="8">
        <f t="shared" si="5"/>
        <v>7212.101052631579</v>
      </c>
      <c r="J9" s="7">
        <v>2.04</v>
      </c>
      <c r="K9" s="6">
        <f t="shared" si="2"/>
        <v>2500</v>
      </c>
      <c r="L9" s="7">
        <v>0.62</v>
      </c>
      <c r="M9" s="5">
        <v>0.85</v>
      </c>
      <c r="N9" s="6">
        <f t="shared" si="0"/>
        <v>2687.7</v>
      </c>
      <c r="O9" s="6">
        <f aca="true" t="shared" si="6" ref="O9:O14">P8+N9-I9</f>
        <v>6947.554736842105</v>
      </c>
      <c r="P9" s="6">
        <f>IF(O9&lt;0,0,IF(O9&gt;C5,C5,O9))</f>
        <v>6947.554736842105</v>
      </c>
      <c r="R9">
        <v>4.948105263157895</v>
      </c>
      <c r="S9" s="29"/>
    </row>
    <row r="10" spans="5:19" ht="12.75">
      <c r="E10" s="5" t="s">
        <v>7</v>
      </c>
      <c r="F10" s="6">
        <f t="shared" si="1"/>
        <v>4000</v>
      </c>
      <c r="G10" s="7">
        <f t="shared" si="3"/>
        <v>2.6848421052631575</v>
      </c>
      <c r="H10" s="7">
        <f t="shared" si="4"/>
        <v>2.6848421052631575</v>
      </c>
      <c r="I10" s="8">
        <f t="shared" si="5"/>
        <v>6658.408421052631</v>
      </c>
      <c r="J10" s="7">
        <v>2.07</v>
      </c>
      <c r="K10" s="6">
        <f t="shared" si="2"/>
        <v>2500</v>
      </c>
      <c r="L10" s="7">
        <v>0.62</v>
      </c>
      <c r="M10" s="5">
        <v>0.85</v>
      </c>
      <c r="N10" s="6">
        <f t="shared" si="0"/>
        <v>2727.225</v>
      </c>
      <c r="O10" s="6">
        <f t="shared" si="6"/>
        <v>3016.3713157894745</v>
      </c>
      <c r="P10" s="6">
        <f>IF(O10&lt;0,0,IF(O10&gt;C5,C5,O10))</f>
        <v>3016.3713157894745</v>
      </c>
      <c r="R10">
        <v>4.754842105263157</v>
      </c>
      <c r="S10" s="29"/>
    </row>
    <row r="11" spans="5:19" ht="12.75">
      <c r="E11" s="5" t="s">
        <v>8</v>
      </c>
      <c r="F11" s="6">
        <f t="shared" si="1"/>
        <v>4000</v>
      </c>
      <c r="G11" s="7">
        <f t="shared" si="3"/>
        <v>1.240736842105263</v>
      </c>
      <c r="H11" s="7">
        <f t="shared" si="4"/>
        <v>1.240736842105263</v>
      </c>
      <c r="I11" s="8">
        <f t="shared" si="5"/>
        <v>3077.027368421052</v>
      </c>
      <c r="J11" s="7">
        <v>2.67</v>
      </c>
      <c r="K11" s="6">
        <f t="shared" si="2"/>
        <v>2500</v>
      </c>
      <c r="L11" s="7">
        <v>0.62</v>
      </c>
      <c r="M11" s="5">
        <v>0.85</v>
      </c>
      <c r="N11" s="6">
        <f t="shared" si="0"/>
        <v>3517.725</v>
      </c>
      <c r="O11" s="6">
        <f t="shared" si="6"/>
        <v>3457.068947368423</v>
      </c>
      <c r="P11" s="6">
        <f>IF(O11&lt;0,0,IF(O11&gt;C5,C5,O11))</f>
        <v>3457.068947368423</v>
      </c>
      <c r="R11">
        <v>3.910736842105263</v>
      </c>
      <c r="S11" s="29"/>
    </row>
    <row r="12" spans="5:18" ht="12.75">
      <c r="E12" s="5" t="s">
        <v>9</v>
      </c>
      <c r="F12" s="6">
        <f t="shared" si="1"/>
        <v>4000</v>
      </c>
      <c r="G12" s="7">
        <f t="shared" si="3"/>
        <v>-0.748947368421053</v>
      </c>
      <c r="H12" s="7">
        <f t="shared" si="4"/>
        <v>0</v>
      </c>
      <c r="I12" s="8">
        <f t="shared" si="5"/>
        <v>0</v>
      </c>
      <c r="J12" s="7">
        <v>3.76</v>
      </c>
      <c r="K12" s="6">
        <f t="shared" si="2"/>
        <v>2500</v>
      </c>
      <c r="L12" s="7">
        <v>0.62</v>
      </c>
      <c r="M12" s="5">
        <v>0.85</v>
      </c>
      <c r="N12" s="6">
        <f t="shared" si="0"/>
        <v>4953.8</v>
      </c>
      <c r="O12" s="6">
        <f t="shared" si="6"/>
        <v>8410.868947368423</v>
      </c>
      <c r="P12" s="6">
        <f>IF(O12&lt;0,0,IF(O12&gt;C5,C5,O12))</f>
        <v>8410.868947368423</v>
      </c>
      <c r="R12">
        <v>3.0110526315789468</v>
      </c>
    </row>
    <row r="13" spans="5:18" ht="12.75">
      <c r="E13" s="5" t="s">
        <v>10</v>
      </c>
      <c r="F13" s="6">
        <f t="shared" si="1"/>
        <v>4000</v>
      </c>
      <c r="G13" s="7">
        <v>0</v>
      </c>
      <c r="H13" s="7">
        <f t="shared" si="4"/>
        <v>0</v>
      </c>
      <c r="I13" s="8">
        <f>G13*0.62*F13</f>
        <v>0</v>
      </c>
      <c r="J13" s="7">
        <v>2.7</v>
      </c>
      <c r="K13" s="6">
        <f t="shared" si="2"/>
        <v>2500</v>
      </c>
      <c r="L13" s="7">
        <v>0.62</v>
      </c>
      <c r="M13" s="5">
        <v>0.85</v>
      </c>
      <c r="N13" s="6">
        <f t="shared" si="0"/>
        <v>3557.25</v>
      </c>
      <c r="O13" s="6">
        <f t="shared" si="6"/>
        <v>11968.118947368423</v>
      </c>
      <c r="P13" s="6">
        <f>IF(O13&lt;0,0,IF(O13&gt;C5,C5,O13))</f>
        <v>11968.118947368423</v>
      </c>
      <c r="R13">
        <v>1.7242105263157896</v>
      </c>
    </row>
    <row r="14" spans="5:18" ht="12.75">
      <c r="E14" s="5" t="s">
        <v>11</v>
      </c>
      <c r="F14" s="6">
        <f t="shared" si="1"/>
        <v>4000</v>
      </c>
      <c r="G14" s="7">
        <v>0</v>
      </c>
      <c r="H14" s="7">
        <f t="shared" si="4"/>
        <v>0</v>
      </c>
      <c r="I14" s="8">
        <f>G14*0.62*F14</f>
        <v>0</v>
      </c>
      <c r="J14" s="7">
        <v>2.64</v>
      </c>
      <c r="K14" s="6">
        <f t="shared" si="2"/>
        <v>2500</v>
      </c>
      <c r="L14" s="7">
        <v>0.62</v>
      </c>
      <c r="M14" s="5">
        <v>0.85</v>
      </c>
      <c r="N14" s="6">
        <f t="shared" si="0"/>
        <v>3478.2</v>
      </c>
      <c r="O14" s="6">
        <f t="shared" si="6"/>
        <v>15446.318947368422</v>
      </c>
      <c r="P14" s="6">
        <f>IF(O14&lt;0,0,IF(O14&gt;C5,C5,O14))</f>
        <v>12000</v>
      </c>
      <c r="R14">
        <v>0.9808421052631577</v>
      </c>
    </row>
    <row r="15" spans="9:18" s="18" customFormat="1" ht="12.75">
      <c r="I15" s="20"/>
      <c r="J15" s="21"/>
      <c r="K15" s="19"/>
      <c r="L15" s="21"/>
      <c r="N15" s="19"/>
      <c r="O15" s="19"/>
      <c r="R15"/>
    </row>
    <row r="16" spans="5:18" ht="12.75">
      <c r="E16" s="18"/>
      <c r="F16" s="18"/>
      <c r="G16" s="18"/>
      <c r="H16" s="18"/>
      <c r="I16" s="20"/>
      <c r="J16" s="21"/>
      <c r="K16" s="19"/>
      <c r="L16" s="21"/>
      <c r="M16" s="18"/>
      <c r="N16" s="19"/>
      <c r="O16" s="19"/>
      <c r="R16" s="18"/>
    </row>
    <row r="17" spans="5:12" ht="12.75">
      <c r="E17" t="s">
        <v>26</v>
      </c>
      <c r="F17" s="18"/>
      <c r="G17" s="18"/>
      <c r="H17" s="18"/>
      <c r="L17" s="1"/>
    </row>
    <row r="18" spans="5:18" ht="89.25">
      <c r="E18" s="4"/>
      <c r="F18" s="27" t="s">
        <v>18</v>
      </c>
      <c r="H18" s="26" t="s">
        <v>32</v>
      </c>
      <c r="I18" s="27" t="s">
        <v>14</v>
      </c>
      <c r="J18" s="27" t="s">
        <v>12</v>
      </c>
      <c r="K18" s="27" t="s">
        <v>15</v>
      </c>
      <c r="L18" s="27" t="s">
        <v>29</v>
      </c>
      <c r="M18" s="27" t="s">
        <v>28</v>
      </c>
      <c r="N18" s="27" t="s">
        <v>13</v>
      </c>
      <c r="P18" s="27" t="s">
        <v>35</v>
      </c>
      <c r="R18" t="s">
        <v>31</v>
      </c>
    </row>
    <row r="19" spans="5:18" ht="12.75">
      <c r="E19" s="10" t="s">
        <v>0</v>
      </c>
      <c r="F19" s="6">
        <f>C4</f>
        <v>4000</v>
      </c>
      <c r="G19" s="7">
        <v>0</v>
      </c>
      <c r="H19" s="7">
        <f>IF(G19&lt;0,0,G19)</f>
        <v>0</v>
      </c>
      <c r="I19" s="8">
        <f>G19*0.62*F19</f>
        <v>0</v>
      </c>
      <c r="J19" s="9">
        <v>1.8</v>
      </c>
      <c r="K19" s="6">
        <f>C3</f>
        <v>2500</v>
      </c>
      <c r="L19" s="9">
        <v>0.62</v>
      </c>
      <c r="M19" s="10">
        <v>0.85</v>
      </c>
      <c r="N19" s="11">
        <f aca="true" t="shared" si="7" ref="N19:N30">J19*K19*L19*M19</f>
        <v>2371.5</v>
      </c>
      <c r="O19" s="6">
        <f>+N19-I19</f>
        <v>2371.5</v>
      </c>
      <c r="P19" s="6">
        <f>IF(O19&lt;0,0,IF(O19&gt;C5,C5,O19))</f>
        <v>2371.5</v>
      </c>
      <c r="R19">
        <v>1.0250526315789474</v>
      </c>
    </row>
    <row r="20" spans="5:18" ht="12.75">
      <c r="E20" s="10" t="s">
        <v>1</v>
      </c>
      <c r="F20" s="6">
        <f>F19</f>
        <v>4000</v>
      </c>
      <c r="G20" s="7">
        <v>0</v>
      </c>
      <c r="H20" s="7">
        <f>IF(G20&lt;0,0,G20)</f>
        <v>0</v>
      </c>
      <c r="I20" s="8">
        <f>G20*0.62*F20</f>
        <v>0</v>
      </c>
      <c r="J20" s="9">
        <v>2.11</v>
      </c>
      <c r="K20" s="6">
        <f>K19</f>
        <v>2500</v>
      </c>
      <c r="L20" s="9">
        <v>0.62</v>
      </c>
      <c r="M20" s="10">
        <v>0.85</v>
      </c>
      <c r="N20" s="11">
        <f t="shared" si="7"/>
        <v>2779.9249999999997</v>
      </c>
      <c r="O20" s="6">
        <f>P19+N20-I20</f>
        <v>5151.424999999999</v>
      </c>
      <c r="P20" s="6">
        <f>IF(O20&lt;0,0,IF(O20&gt;C5,C5,O20))</f>
        <v>5151.424999999999</v>
      </c>
      <c r="R20">
        <v>1.3686315789473689</v>
      </c>
    </row>
    <row r="21" spans="5:18" ht="12.75">
      <c r="E21" s="10" t="s">
        <v>2</v>
      </c>
      <c r="F21" s="6">
        <f aca="true" t="shared" si="8" ref="F21:F30">F20</f>
        <v>4000</v>
      </c>
      <c r="G21" s="7">
        <f>R21-J21</f>
        <v>0.1341052631578954</v>
      </c>
      <c r="H21" s="7">
        <f>IF(G21&lt;0,0,G21)</f>
        <v>0.1341052631578954</v>
      </c>
      <c r="I21" s="8">
        <f>G21*0.62*F21</f>
        <v>332.5810526315806</v>
      </c>
      <c r="J21" s="9">
        <v>2.36</v>
      </c>
      <c r="K21" s="6">
        <f aca="true" t="shared" si="9" ref="K21:K30">K20</f>
        <v>2500</v>
      </c>
      <c r="L21" s="9">
        <v>0.62</v>
      </c>
      <c r="M21" s="10">
        <v>0.85</v>
      </c>
      <c r="N21" s="11">
        <f t="shared" si="7"/>
        <v>3109.2999999999997</v>
      </c>
      <c r="O21" s="6">
        <f>P20+N21-I21</f>
        <v>7928.143947368418</v>
      </c>
      <c r="P21" s="6">
        <f>IF(O21&lt;0,0,IF(O21&gt;C5,C5,O21))</f>
        <v>7928.143947368418</v>
      </c>
      <c r="R21">
        <v>2.4941052631578953</v>
      </c>
    </row>
    <row r="22" spans="5:18" ht="12.75">
      <c r="E22" s="10" t="s">
        <v>3</v>
      </c>
      <c r="F22" s="6">
        <f t="shared" si="8"/>
        <v>4000</v>
      </c>
      <c r="G22" s="7">
        <f aca="true" t="shared" si="10" ref="G22:G28">R22-J22</f>
        <v>0.09673684210526368</v>
      </c>
      <c r="H22" s="7">
        <f aca="true" t="shared" si="11" ref="H22:H30">IF(G22&lt;0,0,G22)</f>
        <v>0.09673684210526368</v>
      </c>
      <c r="I22" s="8">
        <f>G22*0.62*F22</f>
        <v>239.90736842105392</v>
      </c>
      <c r="J22" s="9">
        <v>2.98</v>
      </c>
      <c r="K22" s="6">
        <f t="shared" si="9"/>
        <v>2500</v>
      </c>
      <c r="L22" s="9">
        <v>0.62</v>
      </c>
      <c r="M22" s="10">
        <v>0.85</v>
      </c>
      <c r="N22" s="11">
        <f t="shared" si="7"/>
        <v>3926.15</v>
      </c>
      <c r="O22" s="6">
        <f>P21+N22-I22</f>
        <v>11614.386578947364</v>
      </c>
      <c r="P22" s="6">
        <f>IF(O22&lt;0,0,IF(O22&gt;C5,C5,O22))</f>
        <v>11614.386578947364</v>
      </c>
      <c r="R22">
        <v>3.0767368421052637</v>
      </c>
    </row>
    <row r="23" spans="5:18" ht="12.75">
      <c r="E23" s="10" t="s">
        <v>4</v>
      </c>
      <c r="F23" s="6">
        <f t="shared" si="8"/>
        <v>4000</v>
      </c>
      <c r="G23" s="7">
        <f t="shared" si="10"/>
        <v>0.29600000000000026</v>
      </c>
      <c r="H23" s="7">
        <f t="shared" si="11"/>
        <v>0.29600000000000026</v>
      </c>
      <c r="I23" s="8">
        <f aca="true" t="shared" si="12" ref="I23:I30">G23*0.62*F23</f>
        <v>734.0800000000006</v>
      </c>
      <c r="J23" s="9">
        <v>4.27</v>
      </c>
      <c r="K23" s="6">
        <f t="shared" si="9"/>
        <v>2500</v>
      </c>
      <c r="L23" s="9">
        <v>0.62</v>
      </c>
      <c r="M23" s="10">
        <v>0.85</v>
      </c>
      <c r="N23" s="11">
        <f t="shared" si="7"/>
        <v>5625.724999999999</v>
      </c>
      <c r="O23" s="6">
        <f>P22+N23-I23</f>
        <v>16506.03157894736</v>
      </c>
      <c r="P23" s="6">
        <f>IF(O23&lt;0,0,IF(O23&gt;C5,C5,O23))</f>
        <v>12000</v>
      </c>
      <c r="R23">
        <v>4.566</v>
      </c>
    </row>
    <row r="24" spans="5:18" ht="12.75">
      <c r="E24" s="10" t="s">
        <v>5</v>
      </c>
      <c r="F24" s="6">
        <f t="shared" si="8"/>
        <v>4000</v>
      </c>
      <c r="G24" s="7">
        <f t="shared" si="10"/>
        <v>2.1404210526315794</v>
      </c>
      <c r="H24" s="7">
        <f t="shared" si="11"/>
        <v>2.1404210526315794</v>
      </c>
      <c r="I24" s="8">
        <f t="shared" si="12"/>
        <v>5308.244210526316</v>
      </c>
      <c r="J24" s="9">
        <v>2.85</v>
      </c>
      <c r="K24" s="6">
        <f t="shared" si="9"/>
        <v>2500</v>
      </c>
      <c r="L24" s="9">
        <v>0.62</v>
      </c>
      <c r="M24" s="10">
        <v>0.85</v>
      </c>
      <c r="N24" s="11">
        <f t="shared" si="7"/>
        <v>3754.875</v>
      </c>
      <c r="O24" s="6">
        <f>P23+N24-I24</f>
        <v>10446.630789473684</v>
      </c>
      <c r="P24" s="6">
        <f>IF(O24&lt;0,0,IF(O24&gt;C5,C5,O24))</f>
        <v>10446.630789473684</v>
      </c>
      <c r="R24">
        <v>4.9904210526315795</v>
      </c>
    </row>
    <row r="25" spans="5:18" ht="12.75">
      <c r="E25" s="10" t="s">
        <v>6</v>
      </c>
      <c r="F25" s="6">
        <f t="shared" si="8"/>
        <v>4000</v>
      </c>
      <c r="G25" s="7">
        <f t="shared" si="10"/>
        <v>3.3481052631578945</v>
      </c>
      <c r="H25" s="7">
        <f t="shared" si="11"/>
        <v>3.3481052631578945</v>
      </c>
      <c r="I25" s="8">
        <f t="shared" si="12"/>
        <v>8303.30105263158</v>
      </c>
      <c r="J25" s="9">
        <v>1.6</v>
      </c>
      <c r="K25" s="6">
        <f t="shared" si="9"/>
        <v>2500</v>
      </c>
      <c r="L25" s="9">
        <v>0.62</v>
      </c>
      <c r="M25" s="10">
        <v>0.85</v>
      </c>
      <c r="N25" s="11">
        <f t="shared" si="7"/>
        <v>2108</v>
      </c>
      <c r="O25" s="6">
        <f aca="true" t="shared" si="13" ref="O25:O30">P24+N25-I25</f>
        <v>4251.3297368421045</v>
      </c>
      <c r="P25" s="6">
        <f>IF(O25&lt;0,0,IF(O25&gt;C5,C5,O25))</f>
        <v>4251.3297368421045</v>
      </c>
      <c r="R25">
        <v>4.948105263157895</v>
      </c>
    </row>
    <row r="26" spans="5:18" ht="12.75">
      <c r="E26" s="10" t="s">
        <v>7</v>
      </c>
      <c r="F26" s="6">
        <f t="shared" si="8"/>
        <v>4000</v>
      </c>
      <c r="G26" s="7">
        <f t="shared" si="10"/>
        <v>3.014842105263157</v>
      </c>
      <c r="H26" s="7">
        <f t="shared" si="11"/>
        <v>3.014842105263157</v>
      </c>
      <c r="I26" s="8">
        <f t="shared" si="12"/>
        <v>7476.8084210526295</v>
      </c>
      <c r="J26" s="9">
        <v>1.74</v>
      </c>
      <c r="K26" s="6">
        <f t="shared" si="9"/>
        <v>2500</v>
      </c>
      <c r="L26" s="9">
        <v>0.62</v>
      </c>
      <c r="M26" s="10">
        <v>0.85</v>
      </c>
      <c r="N26" s="11">
        <f t="shared" si="7"/>
        <v>2292.45</v>
      </c>
      <c r="O26" s="6">
        <f t="shared" si="13"/>
        <v>-933.0286842105252</v>
      </c>
      <c r="P26" s="6">
        <f>IF(O26&lt;0,0,IF(O26&gt;C5,C5,O26))</f>
        <v>0</v>
      </c>
      <c r="R26">
        <v>4.754842105263157</v>
      </c>
    </row>
    <row r="27" spans="5:18" ht="12.75">
      <c r="E27" s="10" t="s">
        <v>8</v>
      </c>
      <c r="F27" s="6">
        <f t="shared" si="8"/>
        <v>4000</v>
      </c>
      <c r="G27" s="7">
        <f t="shared" si="10"/>
        <v>1.4107368421052628</v>
      </c>
      <c r="H27" s="7">
        <f t="shared" si="11"/>
        <v>1.4107368421052628</v>
      </c>
      <c r="I27" s="8">
        <f t="shared" si="12"/>
        <v>3498.627368421052</v>
      </c>
      <c r="J27" s="9">
        <v>2.5</v>
      </c>
      <c r="K27" s="6">
        <f t="shared" si="9"/>
        <v>2500</v>
      </c>
      <c r="L27" s="9">
        <v>0.62</v>
      </c>
      <c r="M27" s="10">
        <v>0.85</v>
      </c>
      <c r="N27" s="11">
        <f t="shared" si="7"/>
        <v>3293.75</v>
      </c>
      <c r="O27" s="6">
        <f t="shared" si="13"/>
        <v>-204.87736842105187</v>
      </c>
      <c r="P27" s="6">
        <f>IF(O27&lt;0,0,IF(O27&gt;C5,C5,O27))</f>
        <v>0</v>
      </c>
      <c r="R27">
        <v>3.910736842105263</v>
      </c>
    </row>
    <row r="28" spans="5:18" ht="12.75">
      <c r="E28" s="10" t="s">
        <v>9</v>
      </c>
      <c r="F28" s="6">
        <f t="shared" si="8"/>
        <v>4000</v>
      </c>
      <c r="G28" s="7">
        <f t="shared" si="10"/>
        <v>0.07105263157894681</v>
      </c>
      <c r="H28" s="7">
        <f t="shared" si="11"/>
        <v>0.07105263157894681</v>
      </c>
      <c r="I28" s="8">
        <f t="shared" si="12"/>
        <v>176.2105263157881</v>
      </c>
      <c r="J28" s="9">
        <v>2.94</v>
      </c>
      <c r="K28" s="6">
        <f t="shared" si="9"/>
        <v>2500</v>
      </c>
      <c r="L28" s="9">
        <v>0.62</v>
      </c>
      <c r="M28" s="10">
        <v>0.85</v>
      </c>
      <c r="N28" s="11">
        <f t="shared" si="7"/>
        <v>3873.45</v>
      </c>
      <c r="O28" s="6">
        <f t="shared" si="13"/>
        <v>3697.2394736842116</v>
      </c>
      <c r="P28" s="6">
        <f>IF(O28&lt;0,0,IF(O28&gt;C5,C5,O28))</f>
        <v>3697.2394736842116</v>
      </c>
      <c r="R28">
        <v>3.0110526315789468</v>
      </c>
    </row>
    <row r="29" spans="5:18" ht="12.75">
      <c r="E29" s="10" t="s">
        <v>10</v>
      </c>
      <c r="F29" s="6">
        <f t="shared" si="8"/>
        <v>4000</v>
      </c>
      <c r="G29" s="7">
        <v>0</v>
      </c>
      <c r="H29" s="7">
        <f t="shared" si="11"/>
        <v>0</v>
      </c>
      <c r="I29" s="8">
        <f t="shared" si="12"/>
        <v>0</v>
      </c>
      <c r="J29" s="9">
        <v>2</v>
      </c>
      <c r="K29" s="6">
        <f t="shared" si="9"/>
        <v>2500</v>
      </c>
      <c r="L29" s="9">
        <v>0.62</v>
      </c>
      <c r="M29" s="10">
        <v>0.85</v>
      </c>
      <c r="N29" s="11">
        <f t="shared" si="7"/>
        <v>2635</v>
      </c>
      <c r="O29" s="6">
        <f t="shared" si="13"/>
        <v>6332.239473684212</v>
      </c>
      <c r="P29" s="6">
        <f>IF(O29&lt;0,0,IF(O29&gt;C5,C5,O29))</f>
        <v>6332.239473684212</v>
      </c>
      <c r="R29">
        <v>1.7242105263157896</v>
      </c>
    </row>
    <row r="30" spans="5:18" ht="12.75">
      <c r="E30" s="10" t="s">
        <v>11</v>
      </c>
      <c r="F30" s="6">
        <f t="shared" si="8"/>
        <v>4000</v>
      </c>
      <c r="G30" s="7">
        <v>0</v>
      </c>
      <c r="H30" s="7">
        <f t="shared" si="11"/>
        <v>0</v>
      </c>
      <c r="I30" s="8">
        <f t="shared" si="12"/>
        <v>0</v>
      </c>
      <c r="J30" s="9">
        <v>2.1</v>
      </c>
      <c r="K30" s="6">
        <f t="shared" si="9"/>
        <v>2500</v>
      </c>
      <c r="L30" s="9">
        <v>0.62</v>
      </c>
      <c r="M30" s="10">
        <v>0.85</v>
      </c>
      <c r="N30" s="11">
        <f t="shared" si="7"/>
        <v>2766.75</v>
      </c>
      <c r="O30" s="6">
        <f t="shared" si="13"/>
        <v>9098.98947368421</v>
      </c>
      <c r="P30" s="6">
        <f>IF(O30&lt;0,0,IF(O30&gt;C5,C5,O30))</f>
        <v>9098.98947368421</v>
      </c>
      <c r="R30">
        <v>0.9808421052631577</v>
      </c>
    </row>
    <row r="31" spans="12:18" s="18" customFormat="1" ht="12.75">
      <c r="L31" s="21"/>
      <c r="R31"/>
    </row>
    <row r="32" ht="12.75">
      <c r="R32" s="18"/>
    </row>
    <row r="33" spans="2:15" ht="12.75">
      <c r="B33" s="53" t="s">
        <v>36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5" ht="12.75">
      <c r="B35" t="s">
        <v>34</v>
      </c>
    </row>
    <row r="36" ht="12.75">
      <c r="B36" t="s">
        <v>33</v>
      </c>
    </row>
    <row r="38" ht="12.75">
      <c r="B38" t="s">
        <v>47</v>
      </c>
    </row>
  </sheetData>
  <mergeCells count="1">
    <mergeCell ref="B33:O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RWH System Sizing Estimates Tool</dc:title>
  <dc:subject/>
  <dc:creator>Jan Gerston &amp; Chris Brown</dc:creator>
  <cp:keywords/>
  <dc:description/>
  <cp:lastModifiedBy>ASIT SAHU</cp:lastModifiedBy>
  <cp:lastPrinted>2004-07-20T23:01:01Z</cp:lastPrinted>
  <dcterms:created xsi:type="dcterms:W3CDTF">2004-03-27T00:04:58Z</dcterms:created>
  <dcterms:modified xsi:type="dcterms:W3CDTF">2006-03-15T15:56:40Z</dcterms:modified>
  <cp:category/>
  <cp:version/>
  <cp:contentType/>
  <cp:contentStatus/>
</cp:coreProperties>
</file>